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etorg5198783-my.sharepoint.com/personal/zach_shirt52_com/Documents/Shirt52/Pricing/"/>
    </mc:Choice>
  </mc:AlternateContent>
  <xr:revisionPtr revIDLastSave="240" documentId="8_{9365E67B-DB68-43E7-8853-9B6B782FA24C}" xr6:coauthVersionLast="47" xr6:coauthVersionMax="47" xr10:uidLastSave="{007C5B27-5D64-42C3-8686-227FDD616FA5}"/>
  <bookViews>
    <workbookView xWindow="-20610" yWindow="4455" windowWidth="20730" windowHeight="11160" xr2:uid="{00000000-000D-0000-FFFF-FFFF00000000}"/>
  </bookViews>
  <sheets>
    <sheet name="SP" sheetId="1" r:id="rId1"/>
    <sheet name="EMB" sheetId="3" r:id="rId2"/>
    <sheet name="DTF" sheetId="4" r:id="rId3"/>
    <sheet name="Tent" sheetId="8" r:id="rId4"/>
    <sheet name="SPCalc" sheetId="2" r:id="rId5"/>
    <sheet name="EMBCalc" sheetId="6" r:id="rId6"/>
    <sheet name="DTFCalc" sheetId="7" r:id="rId7"/>
    <sheet name="Snippets" sheetId="9" r:id="rId8"/>
  </sheets>
  <calcPr calcId="191028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4" l="1"/>
  <c r="M5" i="4"/>
  <c r="H4" i="3"/>
  <c r="M8" i="1"/>
  <c r="H14" i="4"/>
  <c r="J6" i="2"/>
  <c r="H3" i="2"/>
  <c r="H4" i="2" s="1"/>
  <c r="J3" i="8"/>
  <c r="J6" i="8"/>
  <c r="I3" i="8"/>
  <c r="I6" i="8"/>
  <c r="J20" i="2"/>
  <c r="G4" i="6"/>
  <c r="F4" i="6"/>
  <c r="C4" i="6"/>
  <c r="E4" i="6"/>
  <c r="E6" i="6" s="1"/>
  <c r="F9" i="6"/>
  <c r="G9" i="6" s="1"/>
  <c r="F18" i="6"/>
  <c r="F22" i="6" s="1"/>
  <c r="G22" i="6" s="1"/>
  <c r="E4" i="7"/>
  <c r="C4" i="7"/>
  <c r="F4" i="7"/>
  <c r="G4" i="7"/>
  <c r="F18" i="7"/>
  <c r="F19" i="7" s="1"/>
  <c r="F9" i="7"/>
  <c r="F10" i="6" l="1"/>
  <c r="F12" i="6" s="1"/>
  <c r="F13" i="6" s="1"/>
  <c r="G18" i="6"/>
  <c r="G10" i="6"/>
  <c r="G12" i="6" s="1"/>
  <c r="G13" i="6" s="1"/>
  <c r="J16" i="2"/>
  <c r="J2" i="2"/>
  <c r="J3" i="2"/>
  <c r="J8" i="2"/>
  <c r="F10" i="7"/>
  <c r="F12" i="7" s="1"/>
  <c r="F13" i="7" s="1"/>
  <c r="F19" i="6"/>
  <c r="G19" i="6" s="1"/>
  <c r="G11" i="6" l="1"/>
  <c r="G14" i="6" s="1"/>
  <c r="G16" i="6" s="1"/>
  <c r="G17" i="6" s="1"/>
  <c r="G23" i="6" s="1"/>
  <c r="F11" i="6"/>
  <c r="F14" i="6" s="1"/>
  <c r="F16" i="6" s="1"/>
  <c r="J11" i="2"/>
  <c r="J12" i="2" s="1"/>
  <c r="J13" i="2" s="1"/>
  <c r="F11" i="7"/>
  <c r="F14" i="7" s="1"/>
  <c r="F16" i="7" s="1"/>
  <c r="F17" i="7" s="1"/>
  <c r="F20" i="7" s="1"/>
  <c r="F9" i="4" s="1"/>
  <c r="J14" i="2" l="1"/>
  <c r="J15" i="2" s="1"/>
  <c r="J18" i="2" s="1"/>
  <c r="J19" i="2" s="1"/>
  <c r="J23" i="2" s="1"/>
  <c r="I6" i="1" s="1"/>
  <c r="G9" i="4"/>
  <c r="H7" i="4" s="1"/>
  <c r="H9" i="4" s="1"/>
  <c r="F17" i="6"/>
  <c r="F23" i="6" s="1"/>
  <c r="G20" i="6"/>
  <c r="G9" i="3" s="1"/>
  <c r="G11" i="3" s="1"/>
  <c r="F20" i="6" l="1"/>
  <c r="E6" i="3" s="1"/>
  <c r="F6" i="3" s="1"/>
  <c r="G4" i="3" s="1"/>
  <c r="G6" i="3" s="1"/>
  <c r="L6" i="1"/>
  <c r="O6" i="1" s="1"/>
  <c r="J6" i="1"/>
  <c r="K6" i="1"/>
  <c r="I4" i="3" l="1"/>
  <c r="I6" i="3" s="1"/>
  <c r="M6" i="1"/>
  <c r="M10" i="1" s="1"/>
  <c r="N10" i="1" s="1"/>
  <c r="N6" i="1"/>
</calcChain>
</file>

<file path=xl/sharedStrings.xml><?xml version="1.0" encoding="utf-8"?>
<sst xmlns="http://schemas.openxmlformats.org/spreadsheetml/2006/main" count="164" uniqueCount="115">
  <si>
    <t>Quantity</t>
  </si>
  <si>
    <t>First Location</t>
  </si>
  <si>
    <t>Second Location</t>
  </si>
  <si>
    <t xml:space="preserve">Shirt </t>
  </si>
  <si>
    <t>Contract</t>
  </si>
  <si>
    <t>Yes</t>
  </si>
  <si>
    <t>Supplied</t>
  </si>
  <si>
    <t>No</t>
  </si>
  <si>
    <t>Cost of Tee</t>
  </si>
  <si>
    <t>Price Ea.</t>
  </si>
  <si>
    <t>Price Ea. W/Tax</t>
  </si>
  <si>
    <t>Total</t>
  </si>
  <si>
    <t>Tax</t>
  </si>
  <si>
    <t>Total W/Tax</t>
  </si>
  <si>
    <t>Daily Operating Cost</t>
  </si>
  <si>
    <t>Time</t>
  </si>
  <si>
    <t>SetUp</t>
  </si>
  <si>
    <t>SetUp (Min)</t>
  </si>
  <si>
    <t>Screens</t>
  </si>
  <si>
    <t>Print (Min)</t>
  </si>
  <si>
    <t>Print</t>
  </si>
  <si>
    <t>Handling</t>
  </si>
  <si>
    <t>CleanUp</t>
  </si>
  <si>
    <t>CleanUp (Min)</t>
  </si>
  <si>
    <t>Total Time (Min)</t>
  </si>
  <si>
    <t>Total Time (Hour)</t>
  </si>
  <si>
    <t xml:space="preserve">Labor Cost </t>
  </si>
  <si>
    <t>Days to Complete</t>
  </si>
  <si>
    <t>Operating Cost</t>
  </si>
  <si>
    <t>Total Cost</t>
  </si>
  <si>
    <t>Print Fee ea</t>
  </si>
  <si>
    <t>Price W/T</t>
  </si>
  <si>
    <t>Blank Mark Up</t>
  </si>
  <si>
    <t>Count In per piece in Sec</t>
  </si>
  <si>
    <t>Job Set Up Min</t>
  </si>
  <si>
    <t>Stitching per Sec</t>
  </si>
  <si>
    <t>Clean Up/Trim Sec</t>
  </si>
  <si>
    <t>Count Out/Box in Sec</t>
  </si>
  <si>
    <t>Count in Time (Min)</t>
  </si>
  <si>
    <t>Stitching time (Min)</t>
  </si>
  <si>
    <t>Clean Up (Min)</t>
  </si>
  <si>
    <t>Count Out (Min)</t>
  </si>
  <si>
    <t>Backer per piece</t>
  </si>
  <si>
    <t>Thread</t>
  </si>
  <si>
    <t>Labor Hourly</t>
  </si>
  <si>
    <t>Material Cost</t>
  </si>
  <si>
    <t>Profit Marging %</t>
  </si>
  <si>
    <t>Garment Mark Up</t>
  </si>
  <si>
    <t>Embroidery per Piece</t>
  </si>
  <si>
    <t>Profit Per Piece</t>
  </si>
  <si>
    <t>Cost of Garment</t>
  </si>
  <si>
    <t>Profit Margin on Garment</t>
  </si>
  <si>
    <t xml:space="preserve">Total Per Piece Cost </t>
  </si>
  <si>
    <t>Total Cost of Garments</t>
  </si>
  <si>
    <t>Total Job Profit</t>
  </si>
  <si>
    <t>Pressing Time</t>
  </si>
  <si>
    <t>Clean Up</t>
  </si>
  <si>
    <t>Cost of Transfer</t>
  </si>
  <si>
    <t>Total Pressing Time (Min)</t>
  </si>
  <si>
    <t>Locations</t>
  </si>
  <si>
    <t>DTF per Piece</t>
  </si>
  <si>
    <t>Screen Cost</t>
  </si>
  <si>
    <t>Art Cost</t>
  </si>
  <si>
    <t>Contract Price Ea</t>
  </si>
  <si>
    <t>Contract Total</t>
  </si>
  <si>
    <t>Time with 6 Head</t>
  </si>
  <si>
    <t>Profit Margin %</t>
  </si>
  <si>
    <t>Profit Contract %</t>
  </si>
  <si>
    <t>Frame</t>
  </si>
  <si>
    <t>10X10</t>
  </si>
  <si>
    <t>10X20</t>
  </si>
  <si>
    <t>Shipping</t>
  </si>
  <si>
    <t xml:space="preserve">Bag </t>
  </si>
  <si>
    <t>USA</t>
  </si>
  <si>
    <t>China</t>
  </si>
  <si>
    <t>Canopy</t>
  </si>
  <si>
    <t>10x10</t>
  </si>
  <si>
    <t>Cost</t>
  </si>
  <si>
    <t>Sell Price</t>
  </si>
  <si>
    <t>25% Rush</t>
  </si>
  <si>
    <t>100% Rush</t>
  </si>
  <si>
    <t>Shipping est</t>
  </si>
  <si>
    <t>Shipping Estimate</t>
  </si>
  <si>
    <t>Price  free Ship</t>
  </si>
  <si>
    <t>Ea Free Ship</t>
  </si>
  <si>
    <t>Digi Per Piece</t>
  </si>
  <si>
    <t>Total W Digi</t>
  </si>
  <si>
    <t>Transfer Size Price Calculator</t>
  </si>
  <si>
    <t>Width (in)</t>
  </si>
  <si>
    <t>Height (in)</t>
  </si>
  <si>
    <t>Price W Markup</t>
  </si>
  <si>
    <t>5 X Markup</t>
  </si>
  <si>
    <t>Cost Effective Short Sleeve</t>
  </si>
  <si>
    <t>Basic Short Sleeve</t>
  </si>
  <si>
    <t>Nicer Quality 60/40 blend</t>
  </si>
  <si>
    <t>9oz Hoodie</t>
  </si>
  <si>
    <t>8oz Hoodie</t>
  </si>
  <si>
    <t>Zip Up Hoodie</t>
  </si>
  <si>
    <t>Basic Tank Top Unisex</t>
  </si>
  <si>
    <t>Basic Long Sleeve</t>
  </si>
  <si>
    <t>Comments</t>
  </si>
  <si>
    <t>Stlyle</t>
  </si>
  <si>
    <t>S-XL</t>
  </si>
  <si>
    <t>2XL</t>
  </si>
  <si>
    <t>3XL</t>
  </si>
  <si>
    <t>Basic Long Sleeve Pocket</t>
  </si>
  <si>
    <t>Short Sleeve Pocket Tee</t>
  </si>
  <si>
    <t>Brand</t>
  </si>
  <si>
    <t>Gildan</t>
  </si>
  <si>
    <t>Next Level</t>
  </si>
  <si>
    <t>Front</t>
  </si>
  <si>
    <t>Back</t>
  </si>
  <si>
    <t>Sleeve</t>
  </si>
  <si>
    <t>Hello, This is Zach from SHIRT52.  Can I get you a quote for custom Apparel?</t>
  </si>
  <si>
    <t>Common Text Snippets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</si>
</sst>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0" fillId="0" borderId="2" xfId="0" applyBorder="1"/>
    <xf numFmtId="0" fontId="0" fillId="0" borderId="8" xfId="0" applyBorder="1"/>
    <xf numFmtId="2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/>
    <xf numFmtId="2" fontId="0" fillId="0" borderId="5" xfId="0" applyNumberForma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4" fontId="2" fillId="0" borderId="0" xfId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2" fillId="0" borderId="1" xfId="1" applyNumberForma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9" fontId="0" fillId="0" borderId="0" xfId="2" applyFont="1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9" fontId="0" fillId="2" borderId="0" xfId="0" applyNumberFormat="1" applyFill="1" applyAlignment="1">
      <alignment horizontal="center" vertical="center"/>
    </xf>
    <xf numFmtId="9" fontId="0" fillId="2" borderId="0" xfId="2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44" fontId="2" fillId="0" borderId="0" xfId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164" fontId="2" fillId="2" borderId="5" xfId="1" applyNumberForma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3" borderId="1" xfId="1" applyNumberFormat="1" applyFill="1" applyBorder="1" applyAlignment="1">
      <alignment horizontal="center" vertical="center"/>
    </xf>
    <xf numFmtId="44" fontId="2" fillId="0" borderId="0" xfId="1" applyBorder="1"/>
    <xf numFmtId="44" fontId="2" fillId="4" borderId="1" xfId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44" fontId="3" fillId="0" borderId="0" xfId="0" applyNumberFormat="1" applyFont="1"/>
    <xf numFmtId="9" fontId="0" fillId="0" borderId="0" xfId="0" applyNumberFormat="1"/>
    <xf numFmtId="9" fontId="2" fillId="0" borderId="0" xfId="0" applyNumberFormat="1" applyFont="1"/>
    <xf numFmtId="164" fontId="0" fillId="0" borderId="0" xfId="0" applyNumberFormat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0" xfId="0" applyFill="1"/>
    <xf numFmtId="0" fontId="5" fillId="0" borderId="0" xfId="3"/>
    <xf numFmtId="0" fontId="0" fillId="0" borderId="12" xfId="0" applyBorder="1" applyAlignment="1">
      <alignment horizontal="center" vertical="center"/>
    </xf>
    <xf numFmtId="44" fontId="3" fillId="0" borderId="1" xfId="0" applyNumberFormat="1" applyFont="1" applyBorder="1"/>
    <xf numFmtId="0" fontId="0" fillId="0" borderId="1" xfId="0" applyBorder="1"/>
    <xf numFmtId="164" fontId="0" fillId="0" borderId="0" xfId="0" applyNumberFormat="1"/>
    <xf numFmtId="2" fontId="0" fillId="0" borderId="1" xfId="0" applyNumberFormat="1" applyBorder="1"/>
    <xf numFmtId="0" fontId="0" fillId="2" borderId="1" xfId="0" applyFill="1" applyBorder="1"/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" xfId="0" applyFont="1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P23"/>
  <sheetViews>
    <sheetView tabSelected="1" workbookViewId="0">
      <selection activeCell="C2" sqref="C2"/>
    </sheetView>
  </sheetViews>
  <sheetFormatPr defaultColWidth="9.1796875" defaultRowHeight="14.5" x14ac:dyDescent="0.35"/>
  <cols>
    <col min="1" max="1" width="22.90625" style="10" bestFit="1" customWidth="1"/>
    <col min="2" max="2" width="9.26953125" style="10" bestFit="1" customWidth="1"/>
    <col min="3" max="3" width="5.81640625" style="10" bestFit="1" customWidth="1"/>
    <col min="4" max="4" width="6.08984375" style="10" bestFit="1" customWidth="1"/>
    <col min="5" max="6" width="5.81640625" style="10" bestFit="1" customWidth="1"/>
    <col min="7" max="8" width="7.90625" style="10" bestFit="1" customWidth="1"/>
    <col min="9" max="9" width="10.36328125" style="10" bestFit="1" customWidth="1"/>
    <col min="10" max="10" width="9.81640625" style="10" bestFit="1" customWidth="1"/>
    <col min="11" max="11" width="8.90625" style="10" bestFit="1" customWidth="1"/>
    <col min="12" max="12" width="13.81640625" style="10" bestFit="1" customWidth="1"/>
    <col min="13" max="13" width="16.36328125" style="10" bestFit="1" customWidth="1"/>
    <col min="14" max="14" width="15.6328125" style="10" bestFit="1" customWidth="1"/>
    <col min="15" max="15" width="11.1796875" style="10" bestFit="1" customWidth="1"/>
    <col min="16" max="16" width="10.08984375" style="10" bestFit="1" customWidth="1"/>
    <col min="17" max="16384" width="9.1796875" style="10"/>
  </cols>
  <sheetData>
    <row r="1" spans="1:16" ht="26.25" customHeight="1" thickBot="1" x14ac:dyDescent="0.4">
      <c r="A1" s="11" t="s">
        <v>0</v>
      </c>
      <c r="B1" s="18" t="s">
        <v>110</v>
      </c>
      <c r="C1" s="18" t="s">
        <v>111</v>
      </c>
      <c r="D1" s="18" t="s">
        <v>112</v>
      </c>
      <c r="E1" s="11" t="s">
        <v>3</v>
      </c>
      <c r="F1" s="12"/>
      <c r="G1" s="12"/>
      <c r="H1" s="12"/>
      <c r="I1" s="12"/>
      <c r="J1" s="12"/>
      <c r="L1" s="51"/>
    </row>
    <row r="2" spans="1:16" ht="15" thickBot="1" x14ac:dyDescent="0.4">
      <c r="A2" s="59">
        <v>20</v>
      </c>
      <c r="B2" s="58">
        <v>1</v>
      </c>
      <c r="C2" s="58">
        <v>4</v>
      </c>
      <c r="D2" s="58">
        <v>0</v>
      </c>
      <c r="E2" s="58">
        <v>9.49</v>
      </c>
      <c r="F2" s="12"/>
      <c r="G2" s="12"/>
      <c r="H2" s="12"/>
      <c r="I2" s="12"/>
      <c r="J2" s="12"/>
    </row>
    <row r="3" spans="1:16" ht="15.75" customHeight="1" thickBot="1" x14ac:dyDescent="0.4">
      <c r="A3" s="60" t="s">
        <v>100</v>
      </c>
      <c r="B3" s="61" t="s">
        <v>107</v>
      </c>
      <c r="C3" s="61" t="s">
        <v>101</v>
      </c>
      <c r="D3" s="61" t="s">
        <v>102</v>
      </c>
      <c r="E3" s="61" t="s">
        <v>103</v>
      </c>
      <c r="F3" s="62" t="s">
        <v>104</v>
      </c>
      <c r="G3" s="1"/>
      <c r="H3" s="1"/>
    </row>
    <row r="4" spans="1:16" ht="15" thickBot="1" x14ac:dyDescent="0.4">
      <c r="A4" s="63" t="s">
        <v>92</v>
      </c>
      <c r="B4" s="64" t="s">
        <v>108</v>
      </c>
      <c r="C4" s="65">
        <v>5000</v>
      </c>
      <c r="D4" s="66">
        <v>2.37</v>
      </c>
      <c r="E4" s="66">
        <v>4.3499999999999996</v>
      </c>
      <c r="F4" s="67">
        <v>5.18</v>
      </c>
      <c r="G4" s="24"/>
      <c r="H4" s="24"/>
    </row>
    <row r="5" spans="1:16" ht="15" thickBot="1" x14ac:dyDescent="0.4">
      <c r="A5" s="63" t="s">
        <v>93</v>
      </c>
      <c r="B5" s="64" t="s">
        <v>108</v>
      </c>
      <c r="C5" s="65">
        <v>2000</v>
      </c>
      <c r="D5" s="66">
        <v>2.79</v>
      </c>
      <c r="E5" s="66">
        <v>4.79</v>
      </c>
      <c r="F5" s="67">
        <v>6.29</v>
      </c>
      <c r="G5" s="12"/>
      <c r="H5" s="12"/>
      <c r="I5" s="11" t="s">
        <v>9</v>
      </c>
      <c r="J5" s="11" t="s">
        <v>11</v>
      </c>
      <c r="K5" s="17" t="s">
        <v>12</v>
      </c>
      <c r="L5" s="11" t="s">
        <v>10</v>
      </c>
      <c r="M5" s="18" t="s">
        <v>13</v>
      </c>
      <c r="N5" s="52" t="s">
        <v>79</v>
      </c>
      <c r="O5" s="52" t="s">
        <v>80</v>
      </c>
    </row>
    <row r="6" spans="1:16" ht="15" thickBot="1" x14ac:dyDescent="0.4">
      <c r="A6" s="63" t="s">
        <v>94</v>
      </c>
      <c r="B6" s="64" t="s">
        <v>109</v>
      </c>
      <c r="C6" s="65">
        <v>6210</v>
      </c>
      <c r="D6" s="66">
        <v>3.99</v>
      </c>
      <c r="E6" s="66">
        <v>5.0999999999999996</v>
      </c>
      <c r="F6" s="67">
        <v>6.24</v>
      </c>
      <c r="G6" s="12"/>
      <c r="H6" s="12"/>
      <c r="I6" s="42">
        <f>SPCalc!J23*1.37</f>
        <v>32.1</v>
      </c>
      <c r="J6" s="43">
        <f>I6*A2</f>
        <v>642</v>
      </c>
      <c r="K6" s="20">
        <f>(I6*0.081)*A2</f>
        <v>52</v>
      </c>
      <c r="L6" s="42">
        <f>I6*1.181</f>
        <v>37.909999999999997</v>
      </c>
      <c r="M6" s="40">
        <f>L6*A2</f>
        <v>758.2</v>
      </c>
      <c r="N6" s="53">
        <f>L6*1.25</f>
        <v>47.39</v>
      </c>
      <c r="O6" s="53">
        <f>L6*2</f>
        <v>75.819999999999993</v>
      </c>
    </row>
    <row r="7" spans="1:16" ht="51.65" customHeight="1" thickBot="1" x14ac:dyDescent="0.4">
      <c r="A7" s="63" t="s">
        <v>106</v>
      </c>
      <c r="B7" s="64" t="s">
        <v>108</v>
      </c>
      <c r="C7" s="68">
        <v>2300</v>
      </c>
      <c r="D7" s="65">
        <v>6.15</v>
      </c>
      <c r="E7" s="65">
        <v>7.35</v>
      </c>
      <c r="F7" s="67">
        <v>8.5500000000000007</v>
      </c>
      <c r="G7" s="12"/>
      <c r="H7" s="12"/>
      <c r="L7" s="44"/>
      <c r="M7" s="52" t="s">
        <v>81</v>
      </c>
      <c r="P7" s="44"/>
    </row>
    <row r="8" spans="1:16" ht="15" thickBot="1" x14ac:dyDescent="0.4">
      <c r="A8" s="63" t="s">
        <v>99</v>
      </c>
      <c r="B8" s="64" t="s">
        <v>108</v>
      </c>
      <c r="C8" s="65">
        <v>2400</v>
      </c>
      <c r="D8" s="66">
        <v>5.32</v>
      </c>
      <c r="E8" s="66">
        <v>6.89</v>
      </c>
      <c r="F8" s="67">
        <v>8.74</v>
      </c>
      <c r="G8" s="12"/>
      <c r="H8" s="12"/>
      <c r="L8" s="44"/>
      <c r="M8" s="53">
        <f>4 * POWER(A2,LOG10(60 / 4) /LOG10(200))</f>
        <v>18.489999999999998</v>
      </c>
    </row>
    <row r="9" spans="1:16" ht="15.75" customHeight="1" thickBot="1" x14ac:dyDescent="0.4">
      <c r="A9" s="63" t="s">
        <v>105</v>
      </c>
      <c r="B9" s="64" t="s">
        <v>108</v>
      </c>
      <c r="C9" s="68">
        <v>2410</v>
      </c>
      <c r="D9" s="65">
        <v>8.15</v>
      </c>
      <c r="E9" s="65">
        <v>9.8000000000000007</v>
      </c>
      <c r="F9" s="67">
        <v>11.45</v>
      </c>
      <c r="G9" s="12"/>
      <c r="H9" s="12"/>
      <c r="M9" s="54" t="s">
        <v>83</v>
      </c>
      <c r="N9" s="54" t="s">
        <v>84</v>
      </c>
    </row>
    <row r="10" spans="1:16" ht="18" customHeight="1" thickBot="1" x14ac:dyDescent="0.4">
      <c r="A10" s="63" t="s">
        <v>96</v>
      </c>
      <c r="B10" s="64" t="s">
        <v>108</v>
      </c>
      <c r="C10" s="65">
        <v>18500</v>
      </c>
      <c r="D10" s="66">
        <v>9.49</v>
      </c>
      <c r="E10" s="66">
        <v>12.2</v>
      </c>
      <c r="F10" s="67">
        <v>14.2</v>
      </c>
      <c r="G10" s="12"/>
      <c r="H10" s="12"/>
      <c r="I10" s="12"/>
      <c r="J10" s="12"/>
      <c r="K10" s="12"/>
      <c r="L10" s="12"/>
      <c r="M10" s="53">
        <f>M6+M8</f>
        <v>776.69</v>
      </c>
      <c r="N10" s="53">
        <f>M10/A2</f>
        <v>38.83</v>
      </c>
    </row>
    <row r="11" spans="1:16" ht="64" customHeight="1" thickBot="1" x14ac:dyDescent="0.4">
      <c r="A11" s="63" t="s">
        <v>95</v>
      </c>
      <c r="B11" s="64" t="s">
        <v>108</v>
      </c>
      <c r="C11" s="68">
        <v>12500</v>
      </c>
      <c r="D11" s="66">
        <v>15.15</v>
      </c>
      <c r="E11" s="66">
        <v>18.149999999999999</v>
      </c>
      <c r="F11" s="67">
        <v>21.2</v>
      </c>
      <c r="G11" s="12"/>
      <c r="H11" s="12"/>
      <c r="I11" s="12"/>
      <c r="J11" s="1"/>
      <c r="K11" s="32"/>
      <c r="L11" s="32"/>
      <c r="M11" s="32"/>
    </row>
    <row r="12" spans="1:16" ht="34.5" customHeight="1" thickBot="1" x14ac:dyDescent="0.4">
      <c r="A12" s="63" t="s">
        <v>97</v>
      </c>
      <c r="B12" s="64" t="s">
        <v>108</v>
      </c>
      <c r="C12" s="65">
        <v>18600</v>
      </c>
      <c r="D12" s="66">
        <v>15.15</v>
      </c>
      <c r="E12" s="66">
        <v>18.149999999999999</v>
      </c>
      <c r="F12" s="67">
        <v>21.2</v>
      </c>
      <c r="G12" s="12"/>
      <c r="H12" s="12"/>
      <c r="I12" s="12"/>
      <c r="J12" s="12"/>
      <c r="K12" s="12"/>
      <c r="L12"/>
      <c r="M12" s="23"/>
    </row>
    <row r="13" spans="1:16" ht="15" thickBot="1" x14ac:dyDescent="0.4">
      <c r="A13" s="63" t="s">
        <v>98</v>
      </c>
      <c r="B13" s="64" t="s">
        <v>108</v>
      </c>
      <c r="C13" s="65">
        <v>2200</v>
      </c>
      <c r="D13" s="66">
        <v>4.1500000000000004</v>
      </c>
      <c r="E13" s="66">
        <v>6.19</v>
      </c>
      <c r="F13" s="67">
        <v>7.19</v>
      </c>
      <c r="G13" s="12"/>
      <c r="H13" s="12"/>
      <c r="I13" s="12"/>
      <c r="J13" s="12"/>
      <c r="K13" s="41"/>
      <c r="L13"/>
      <c r="M13" s="23"/>
    </row>
    <row r="14" spans="1:16" x14ac:dyDescent="0.3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41"/>
      <c r="L14"/>
      <c r="M14" s="23"/>
    </row>
    <row r="15" spans="1:16" ht="68.150000000000006" customHeight="1" x14ac:dyDescent="0.35">
      <c r="A15" s="12"/>
      <c r="B15" s="12"/>
      <c r="F15" s="12"/>
      <c r="G15" s="12"/>
      <c r="H15" s="12"/>
      <c r="I15" s="12"/>
      <c r="J15" s="12"/>
      <c r="K15" s="16"/>
      <c r="L15" s="12"/>
      <c r="M15" s="12"/>
    </row>
    <row r="16" spans="1:16" ht="47.25" customHeight="1" x14ac:dyDescent="0.35">
      <c r="A16" s="12"/>
      <c r="B16" s="12"/>
      <c r="F16" s="12"/>
      <c r="G16" s="12"/>
      <c r="H16" s="12"/>
      <c r="I16" s="12"/>
      <c r="J16" s="12"/>
      <c r="K16" s="16"/>
    </row>
    <row r="17" spans="6:11" ht="35.15" customHeight="1" x14ac:dyDescent="0.35">
      <c r="F17" s="12"/>
      <c r="G17" s="12"/>
      <c r="H17" s="12"/>
      <c r="J17" s="12"/>
      <c r="K17" s="16"/>
    </row>
    <row r="18" spans="6:11" x14ac:dyDescent="0.35">
      <c r="F18" s="12"/>
      <c r="G18" s="12"/>
      <c r="H18" s="12"/>
      <c r="I18" s="12"/>
      <c r="J18" s="12"/>
      <c r="K18" s="16"/>
    </row>
    <row r="19" spans="6:11" x14ac:dyDescent="0.35">
      <c r="F19" s="12"/>
      <c r="G19" s="12"/>
      <c r="H19" s="12"/>
      <c r="I19" s="12"/>
      <c r="J19" s="12"/>
      <c r="K19" s="12"/>
    </row>
    <row r="20" spans="6:11" ht="48" customHeight="1" x14ac:dyDescent="0.35">
      <c r="F20" s="12"/>
      <c r="G20" s="12"/>
      <c r="H20" s="12"/>
    </row>
    <row r="22" spans="6:11" x14ac:dyDescent="0.35">
      <c r="I22" s="12"/>
      <c r="K22" s="12"/>
    </row>
    <row r="23" spans="6:11" ht="46.5" customHeight="1" x14ac:dyDescent="0.35">
      <c r="F23" s="12"/>
      <c r="G23" s="12"/>
      <c r="H23" s="12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SPCalc!$B$2:$B$10</xm:f>
          </x14:formula1>
          <xm:sqref>B2:D2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F3508-5047-4C0E-9DDA-636629C60734}">
  <sheetPr>
    <pageSetUpPr autoPageBreaks="0"/>
  </sheetPr>
  <dimension ref="A1:I12"/>
  <sheetViews>
    <sheetView workbookViewId="0">
      <selection activeCell="G4" sqref="G4"/>
    </sheetView>
  </sheetViews>
  <sheetFormatPr defaultRowHeight="14.5" x14ac:dyDescent="0.35"/>
  <cols>
    <col min="1" max="1" width="7.90625" bestFit="1" customWidth="1"/>
    <col min="2" max="2" width="11.81640625" bestFit="1" customWidth="1"/>
    <col min="3" max="3" width="22.7265625" customWidth="1"/>
    <col min="4" max="4" width="10.08984375" bestFit="1" customWidth="1"/>
    <col min="7" max="7" width="14.90625" bestFit="1" customWidth="1"/>
    <col min="8" max="8" width="14.6328125" customWidth="1"/>
    <col min="9" max="9" width="13.81640625" bestFit="1" customWidth="1"/>
  </cols>
  <sheetData>
    <row r="1" spans="1:9" ht="15" thickBot="1" x14ac:dyDescent="0.4">
      <c r="A1" s="11" t="s">
        <v>0</v>
      </c>
      <c r="B1" s="11" t="s">
        <v>1</v>
      </c>
      <c r="C1" s="11" t="s">
        <v>2</v>
      </c>
      <c r="D1" s="11" t="s">
        <v>8</v>
      </c>
      <c r="E1" s="12"/>
      <c r="F1" s="12"/>
      <c r="G1" s="12"/>
      <c r="H1" s="12"/>
      <c r="I1" s="12"/>
    </row>
    <row r="2" spans="1:9" ht="15" thickBot="1" x14ac:dyDescent="0.4">
      <c r="A2" s="13">
        <v>3</v>
      </c>
      <c r="B2" s="14">
        <v>3963</v>
      </c>
      <c r="C2" s="14">
        <v>2103</v>
      </c>
      <c r="D2" s="21">
        <v>11.99</v>
      </c>
      <c r="E2" s="12"/>
      <c r="F2" s="12"/>
      <c r="G2" s="12"/>
      <c r="H2" s="12"/>
      <c r="I2" s="12"/>
    </row>
    <row r="3" spans="1:9" ht="15" thickBot="1" x14ac:dyDescent="0.4">
      <c r="A3" s="12"/>
      <c r="B3" s="12"/>
      <c r="C3" s="12"/>
      <c r="D3" s="12"/>
      <c r="E3" s="12"/>
      <c r="F3" s="12"/>
      <c r="G3" s="18" t="s">
        <v>10</v>
      </c>
      <c r="H3" s="18" t="s">
        <v>85</v>
      </c>
      <c r="I3" s="18" t="s">
        <v>86</v>
      </c>
    </row>
    <row r="4" spans="1:9" ht="15" thickBot="1" x14ac:dyDescent="0.4">
      <c r="A4" s="12"/>
      <c r="B4" s="12"/>
      <c r="C4" s="12"/>
      <c r="D4" s="12"/>
      <c r="E4" s="12"/>
      <c r="F4" s="12"/>
      <c r="G4" s="35">
        <f>(F6+E6)/A2</f>
        <v>27.6</v>
      </c>
      <c r="H4" s="35">
        <f>35/A2</f>
        <v>11.67</v>
      </c>
      <c r="I4" s="35">
        <f>G4+H4</f>
        <v>39.270000000000003</v>
      </c>
    </row>
    <row r="5" spans="1:9" ht="16" thickBot="1" x14ac:dyDescent="0.4">
      <c r="A5" s="12"/>
      <c r="B5" s="12"/>
      <c r="C5" s="33"/>
      <c r="D5" s="12"/>
      <c r="E5" s="11" t="s">
        <v>11</v>
      </c>
      <c r="F5" s="17" t="s">
        <v>12</v>
      </c>
      <c r="G5" s="18" t="s">
        <v>13</v>
      </c>
      <c r="H5" s="18"/>
      <c r="I5" s="18"/>
    </row>
    <row r="6" spans="1:9" ht="15" thickBot="1" x14ac:dyDescent="0.4">
      <c r="A6" s="12"/>
      <c r="B6" s="12"/>
      <c r="C6" s="12"/>
      <c r="D6" s="12"/>
      <c r="E6" s="15">
        <f>A2*EMBCalc!F20</f>
        <v>76.23</v>
      </c>
      <c r="F6" s="20">
        <f>E6*0.086</f>
        <v>6.56</v>
      </c>
      <c r="G6" s="19">
        <f>A2*G4</f>
        <v>82.8</v>
      </c>
      <c r="H6" s="19"/>
      <c r="I6" s="19">
        <f>I4*A2</f>
        <v>117.81</v>
      </c>
    </row>
    <row r="7" spans="1:9" x14ac:dyDescent="0.35">
      <c r="A7" s="12"/>
      <c r="B7" s="12"/>
      <c r="C7" s="12"/>
      <c r="D7" s="12"/>
    </row>
    <row r="8" spans="1:9" ht="15" thickBot="1" x14ac:dyDescent="0.4">
      <c r="A8" s="12"/>
      <c r="B8" s="12"/>
      <c r="D8" s="12"/>
      <c r="G8" s="47" t="s">
        <v>63</v>
      </c>
    </row>
    <row r="9" spans="1:9" ht="15" thickBot="1" x14ac:dyDescent="0.4">
      <c r="A9" s="12"/>
      <c r="B9" s="12"/>
      <c r="C9" s="12"/>
      <c r="D9" s="12"/>
      <c r="F9" s="45"/>
      <c r="G9" s="48">
        <f>EMBCalc!G20</f>
        <v>24.57</v>
      </c>
    </row>
    <row r="10" spans="1:9" ht="15" thickBot="1" x14ac:dyDescent="0.4">
      <c r="A10" s="12"/>
      <c r="B10" s="12"/>
      <c r="C10" s="36"/>
      <c r="D10" s="12"/>
      <c r="E10" s="12"/>
      <c r="F10" s="46"/>
      <c r="G10" s="49" t="s">
        <v>64</v>
      </c>
      <c r="H10" s="24"/>
    </row>
    <row r="11" spans="1:9" ht="15" thickBot="1" x14ac:dyDescent="0.4">
      <c r="A11" s="12"/>
      <c r="B11" s="12"/>
      <c r="C11" s="23"/>
      <c r="D11" s="12"/>
      <c r="E11" s="12"/>
      <c r="F11" s="12"/>
      <c r="G11" s="35">
        <f>G9*A2</f>
        <v>73.709999999999994</v>
      </c>
      <c r="H11" s="12"/>
    </row>
    <row r="12" spans="1:9" x14ac:dyDescent="0.35">
      <c r="A12" s="12"/>
      <c r="B12" s="12"/>
      <c r="C12" s="23"/>
      <c r="D12" s="12"/>
      <c r="E12" s="1"/>
      <c r="F12" s="32"/>
      <c r="G12" s="32"/>
      <c r="H12" s="3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8F4E5-C59B-4C1C-BD10-FDC3603B4F64}">
  <sheetPr>
    <pageSetUpPr autoPageBreaks="0"/>
  </sheetPr>
  <dimension ref="A1:M14"/>
  <sheetViews>
    <sheetView zoomScaleNormal="100" workbookViewId="0">
      <selection activeCell="E10" sqref="E10"/>
    </sheetView>
  </sheetViews>
  <sheetFormatPr defaultRowHeight="14.5" x14ac:dyDescent="0.35"/>
  <cols>
    <col min="2" max="2" width="13.54296875" customWidth="1"/>
    <col min="3" max="3" width="10.08984375" bestFit="1" customWidth="1"/>
    <col min="4" max="4" width="1.7265625" bestFit="1" customWidth="1"/>
    <col min="5" max="5" width="15.1796875" customWidth="1"/>
    <col min="7" max="7" width="7.36328125" bestFit="1" customWidth="1"/>
    <col min="8" max="8" width="16.1796875" bestFit="1" customWidth="1"/>
    <col min="10" max="10" width="13.81640625" bestFit="1" customWidth="1"/>
    <col min="11" max="11" width="17.36328125" customWidth="1"/>
    <col min="12" max="12" width="17.1796875" bestFit="1" customWidth="1"/>
    <col min="13" max="13" width="14.26953125" bestFit="1" customWidth="1"/>
  </cols>
  <sheetData>
    <row r="1" spans="1:13" ht="15" thickBot="1" x14ac:dyDescent="0.4">
      <c r="A1" s="11" t="s">
        <v>0</v>
      </c>
      <c r="B1" s="11" t="s">
        <v>59</v>
      </c>
      <c r="C1" s="11" t="s">
        <v>8</v>
      </c>
      <c r="D1" s="72" t="s">
        <v>57</v>
      </c>
      <c r="E1" s="73"/>
      <c r="F1" s="12"/>
      <c r="G1" s="12"/>
      <c r="H1" s="12"/>
    </row>
    <row r="2" spans="1:13" ht="15" thickBot="1" x14ac:dyDescent="0.4">
      <c r="A2" s="13">
        <v>20</v>
      </c>
      <c r="B2" s="14">
        <v>1</v>
      </c>
      <c r="C2" s="37">
        <v>5.18</v>
      </c>
      <c r="D2" s="11">
        <v>1</v>
      </c>
      <c r="E2" s="38">
        <v>3</v>
      </c>
      <c r="F2" s="12"/>
      <c r="G2" s="12"/>
      <c r="H2" s="12"/>
    </row>
    <row r="3" spans="1:13" ht="15" thickBot="1" x14ac:dyDescent="0.4">
      <c r="A3" s="12"/>
      <c r="B3" s="12"/>
      <c r="C3" s="1"/>
      <c r="D3" s="11">
        <v>2</v>
      </c>
      <c r="E3" s="38">
        <v>0</v>
      </c>
      <c r="F3" s="12"/>
      <c r="G3" s="12"/>
      <c r="H3" s="12"/>
      <c r="J3" s="72" t="s">
        <v>87</v>
      </c>
      <c r="K3" s="74"/>
      <c r="L3" s="75"/>
      <c r="M3" s="18" t="s">
        <v>91</v>
      </c>
    </row>
    <row r="4" spans="1:13" ht="15" thickBot="1" x14ac:dyDescent="0.4">
      <c r="A4" s="12"/>
      <c r="B4" s="12"/>
      <c r="C4" s="24"/>
      <c r="D4" s="11">
        <v>3</v>
      </c>
      <c r="E4" s="38">
        <v>0</v>
      </c>
      <c r="F4" s="32"/>
      <c r="G4" s="12"/>
      <c r="H4" s="32"/>
      <c r="J4" s="54" t="s">
        <v>88</v>
      </c>
      <c r="K4" s="54" t="s">
        <v>89</v>
      </c>
      <c r="L4" s="54" t="s">
        <v>77</v>
      </c>
      <c r="M4" s="54" t="s">
        <v>90</v>
      </c>
    </row>
    <row r="5" spans="1:13" ht="15" thickBot="1" x14ac:dyDescent="0.4">
      <c r="A5" s="12"/>
      <c r="B5" s="12"/>
      <c r="C5" s="12"/>
      <c r="D5" s="39">
        <v>4</v>
      </c>
      <c r="E5" s="38">
        <v>0</v>
      </c>
      <c r="F5" s="24"/>
      <c r="G5" s="32"/>
      <c r="H5" s="34"/>
      <c r="J5" s="57">
        <v>12</v>
      </c>
      <c r="K5" s="57">
        <v>12</v>
      </c>
      <c r="L5" s="56">
        <f>(J5*K5)*0.0034</f>
        <v>0.49</v>
      </c>
      <c r="M5" s="56">
        <f>L5*5</f>
        <v>2.4500000000000002</v>
      </c>
    </row>
    <row r="6" spans="1:13" ht="15" thickBot="1" x14ac:dyDescent="0.4">
      <c r="A6" s="12"/>
      <c r="B6" s="12"/>
      <c r="C6" s="12"/>
      <c r="D6" s="12"/>
      <c r="E6" s="12"/>
      <c r="F6" s="12"/>
      <c r="G6" s="12"/>
      <c r="H6" s="18" t="s">
        <v>10</v>
      </c>
    </row>
    <row r="7" spans="1:13" ht="15" thickBot="1" x14ac:dyDescent="0.4">
      <c r="A7" s="12"/>
      <c r="B7" s="12"/>
      <c r="C7" s="12"/>
      <c r="D7" s="12"/>
      <c r="E7" s="12"/>
      <c r="F7" s="12"/>
      <c r="G7" s="12"/>
      <c r="H7" s="35">
        <f>(F9+G9)/A2</f>
        <v>14.18</v>
      </c>
      <c r="I7" s="55"/>
    </row>
    <row r="8" spans="1:13" ht="15" thickBot="1" x14ac:dyDescent="0.4">
      <c r="A8" s="12"/>
      <c r="B8" s="12"/>
      <c r="D8" s="12"/>
      <c r="E8" s="12"/>
      <c r="F8" s="11" t="s">
        <v>11</v>
      </c>
      <c r="G8" s="17" t="s">
        <v>12</v>
      </c>
      <c r="H8" s="18" t="s">
        <v>13</v>
      </c>
    </row>
    <row r="9" spans="1:13" ht="15" thickBot="1" x14ac:dyDescent="0.4">
      <c r="A9" s="12"/>
      <c r="B9" s="12"/>
      <c r="C9" s="12"/>
      <c r="D9" s="12"/>
      <c r="E9" s="12"/>
      <c r="F9" s="15">
        <f>DTFCalc!F20*DTF!A2</f>
        <v>262.39999999999998</v>
      </c>
      <c r="G9" s="20">
        <f>F9*0.081</f>
        <v>21.25</v>
      </c>
      <c r="H9" s="19">
        <f>H7*A2</f>
        <v>283.60000000000002</v>
      </c>
    </row>
    <row r="10" spans="1:13" x14ac:dyDescent="0.35">
      <c r="A10" s="12"/>
      <c r="B10" s="12"/>
      <c r="C10" s="36"/>
      <c r="D10" s="12"/>
      <c r="E10" s="12"/>
      <c r="F10" s="12"/>
      <c r="G10" s="12"/>
      <c r="H10" s="24"/>
      <c r="J10" s="55"/>
    </row>
    <row r="11" spans="1:13" x14ac:dyDescent="0.35">
      <c r="A11" s="12"/>
      <c r="B11" s="12"/>
      <c r="C11" s="23"/>
      <c r="D11" s="12"/>
      <c r="E11" s="12"/>
      <c r="F11" s="12"/>
      <c r="G11" s="12"/>
      <c r="H11" s="23"/>
    </row>
    <row r="12" spans="1:13" ht="15" thickBot="1" x14ac:dyDescent="0.4">
      <c r="A12" s="12"/>
      <c r="B12" s="12"/>
      <c r="C12" s="23"/>
      <c r="D12" s="12"/>
      <c r="E12" s="70"/>
      <c r="F12" s="71"/>
      <c r="G12" s="71"/>
      <c r="H12" s="71"/>
    </row>
    <row r="13" spans="1:13" ht="15" thickBot="1" x14ac:dyDescent="0.4">
      <c r="H13" s="18" t="s">
        <v>82</v>
      </c>
    </row>
    <row r="14" spans="1:13" ht="15" thickBot="1" x14ac:dyDescent="0.4">
      <c r="H14" s="35">
        <f>9.863 * EXP(0.0022 * A2)</f>
        <v>10.31</v>
      </c>
    </row>
  </sheetData>
  <mergeCells count="3">
    <mergeCell ref="E12:H12"/>
    <mergeCell ref="D1:E1"/>
    <mergeCell ref="J3:L3"/>
  </mergeCells>
  <pageMargins left="0.7" right="0.7" top="0.75" bottom="0.75" header="0.3" footer="0.3"/>
  <pageSetup paperSize="25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73BEBE-1FDE-438B-804A-C453BF16A183}">
          <x14:formula1>
            <xm:f>DTFCalc!$A$1:$A$4</xm:f>
          </x14:formula1>
          <xm:sqref>B2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8614-64C4-4CA4-8E78-E489E494FAF6}">
  <dimension ref="A1:J6"/>
  <sheetViews>
    <sheetView zoomScaleNormal="60" zoomScaleSheetLayoutView="100" workbookViewId="0">
      <selection activeCell="G12" sqref="G12"/>
    </sheetView>
  </sheetViews>
  <sheetFormatPr defaultRowHeight="14.5" x14ac:dyDescent="0.35"/>
  <sheetData>
    <row r="1" spans="1:10" x14ac:dyDescent="0.35">
      <c r="B1" t="s">
        <v>73</v>
      </c>
      <c r="F1" t="s">
        <v>74</v>
      </c>
      <c r="I1" t="s">
        <v>77</v>
      </c>
    </row>
    <row r="2" spans="1:10" x14ac:dyDescent="0.35">
      <c r="A2" t="s">
        <v>68</v>
      </c>
      <c r="B2" t="s">
        <v>69</v>
      </c>
      <c r="C2" t="s">
        <v>70</v>
      </c>
      <c r="E2" t="s">
        <v>75</v>
      </c>
      <c r="F2" t="s">
        <v>69</v>
      </c>
      <c r="G2" t="s">
        <v>70</v>
      </c>
      <c r="I2" t="s">
        <v>76</v>
      </c>
      <c r="J2" t="s">
        <v>70</v>
      </c>
    </row>
    <row r="3" spans="1:10" x14ac:dyDescent="0.35">
      <c r="B3">
        <v>159</v>
      </c>
      <c r="C3">
        <v>289</v>
      </c>
      <c r="F3">
        <v>160</v>
      </c>
      <c r="G3">
        <v>304</v>
      </c>
      <c r="I3">
        <f>B3+B4+B6+F3+F4</f>
        <v>527.29999999999995</v>
      </c>
      <c r="J3">
        <f>C3+C4+C6+G3+G4</f>
        <v>899.8</v>
      </c>
    </row>
    <row r="4" spans="1:10" x14ac:dyDescent="0.35">
      <c r="A4" t="s">
        <v>71</v>
      </c>
      <c r="B4">
        <v>79</v>
      </c>
      <c r="C4">
        <v>129</v>
      </c>
      <c r="F4">
        <v>90.3</v>
      </c>
      <c r="G4">
        <v>130.80000000000001</v>
      </c>
    </row>
    <row r="5" spans="1:10" x14ac:dyDescent="0.35">
      <c r="I5" t="s">
        <v>78</v>
      </c>
    </row>
    <row r="6" spans="1:10" x14ac:dyDescent="0.35">
      <c r="A6" t="s">
        <v>72</v>
      </c>
      <c r="B6">
        <v>39</v>
      </c>
      <c r="C6">
        <v>47</v>
      </c>
      <c r="I6" s="50">
        <f>I3*2</f>
        <v>1054.5999999999999</v>
      </c>
      <c r="J6" s="50">
        <f>J3*2</f>
        <v>1799.6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L23"/>
  <sheetViews>
    <sheetView workbookViewId="0">
      <selection activeCell="M16" sqref="M16"/>
    </sheetView>
  </sheetViews>
  <sheetFormatPr defaultRowHeight="14.5" x14ac:dyDescent="0.35"/>
  <cols>
    <col min="2" max="2" width="13.1796875" bestFit="1" customWidth="1"/>
    <col min="4" max="4" width="19.26953125" customWidth="1"/>
    <col min="5" max="5" width="8.7265625" customWidth="1"/>
    <col min="9" max="9" width="16.54296875" bestFit="1" customWidth="1"/>
  </cols>
  <sheetData>
    <row r="1" spans="2:12" x14ac:dyDescent="0.35">
      <c r="D1" t="s">
        <v>14</v>
      </c>
      <c r="G1" s="1"/>
      <c r="H1" s="1" t="s">
        <v>15</v>
      </c>
      <c r="I1" s="1"/>
      <c r="J1" s="1"/>
    </row>
    <row r="2" spans="2:12" x14ac:dyDescent="0.35">
      <c r="B2">
        <v>0</v>
      </c>
      <c r="C2">
        <v>0</v>
      </c>
      <c r="D2" s="22">
        <v>80</v>
      </c>
      <c r="G2" s="1" t="s">
        <v>16</v>
      </c>
      <c r="H2" s="1">
        <v>25</v>
      </c>
      <c r="I2" s="1" t="s">
        <v>17</v>
      </c>
      <c r="J2" s="2">
        <f>H2*1.25^H4</f>
        <v>61.04</v>
      </c>
      <c r="K2" s="1"/>
    </row>
    <row r="3" spans="2:12" x14ac:dyDescent="0.35">
      <c r="B3">
        <v>1</v>
      </c>
      <c r="C3">
        <v>1</v>
      </c>
      <c r="G3" s="1" t="s">
        <v>18</v>
      </c>
      <c r="H3" s="1">
        <f>SUM(SP!B2:D2)</f>
        <v>5</v>
      </c>
      <c r="I3" s="1" t="s">
        <v>19</v>
      </c>
      <c r="J3" s="2">
        <f>SP!A2*((H5*1.25^H4)+(0.35))</f>
        <v>104.66</v>
      </c>
    </row>
    <row r="4" spans="2:12" x14ac:dyDescent="0.35">
      <c r="B4">
        <v>2</v>
      </c>
      <c r="C4">
        <v>2</v>
      </c>
      <c r="D4" t="s">
        <v>5</v>
      </c>
      <c r="G4" s="1"/>
      <c r="H4" s="1">
        <f>H3-1</f>
        <v>4</v>
      </c>
      <c r="I4" s="1"/>
      <c r="J4" s="2"/>
    </row>
    <row r="5" spans="2:12" x14ac:dyDescent="0.35">
      <c r="B5">
        <v>3</v>
      </c>
      <c r="C5">
        <v>3</v>
      </c>
      <c r="D5" t="s">
        <v>7</v>
      </c>
      <c r="G5" s="1" t="s">
        <v>20</v>
      </c>
      <c r="H5" s="1">
        <v>2</v>
      </c>
      <c r="I5" s="1"/>
      <c r="J5" s="2"/>
    </row>
    <row r="6" spans="2:12" x14ac:dyDescent="0.35">
      <c r="B6">
        <v>4</v>
      </c>
      <c r="C6">
        <v>4</v>
      </c>
      <c r="G6" s="1"/>
      <c r="H6" s="1"/>
      <c r="I6" s="1" t="s">
        <v>21</v>
      </c>
      <c r="J6" s="2">
        <f>((SP!A2*10)/60)+20</f>
        <v>23.33</v>
      </c>
    </row>
    <row r="7" spans="2:12" x14ac:dyDescent="0.35">
      <c r="B7">
        <v>5</v>
      </c>
      <c r="G7" s="1"/>
      <c r="H7" s="1"/>
      <c r="I7" s="1"/>
      <c r="J7" s="2"/>
    </row>
    <row r="8" spans="2:12" x14ac:dyDescent="0.35">
      <c r="B8">
        <v>6</v>
      </c>
      <c r="G8" s="1" t="s">
        <v>22</v>
      </c>
      <c r="H8" s="1">
        <v>20</v>
      </c>
      <c r="I8" s="1" t="s">
        <v>23</v>
      </c>
      <c r="J8" s="2">
        <f>H8*1.3^H4</f>
        <v>57.12</v>
      </c>
    </row>
    <row r="9" spans="2:12" x14ac:dyDescent="0.35">
      <c r="B9">
        <v>7</v>
      </c>
      <c r="G9" s="1"/>
      <c r="H9" s="1"/>
      <c r="I9" s="1"/>
      <c r="J9" s="1"/>
    </row>
    <row r="10" spans="2:12" x14ac:dyDescent="0.35">
      <c r="B10">
        <v>8</v>
      </c>
      <c r="J10" s="1"/>
    </row>
    <row r="11" spans="2:12" x14ac:dyDescent="0.35">
      <c r="B11" t="s">
        <v>6</v>
      </c>
      <c r="C11">
        <v>0</v>
      </c>
      <c r="I11" t="s">
        <v>24</v>
      </c>
      <c r="J11" s="2">
        <f>SUM(J8,J2,J6,J3)</f>
        <v>246.15</v>
      </c>
    </row>
    <row r="12" spans="2:12" x14ac:dyDescent="0.35">
      <c r="I12" t="s">
        <v>25</v>
      </c>
      <c r="J12" s="2">
        <f>J11/60</f>
        <v>4.0999999999999996</v>
      </c>
    </row>
    <row r="13" spans="2:12" x14ac:dyDescent="0.35">
      <c r="I13" t="s">
        <v>26</v>
      </c>
      <c r="J13" s="2">
        <f>J12*16</f>
        <v>65.599999999999994</v>
      </c>
    </row>
    <row r="14" spans="2:12" x14ac:dyDescent="0.35">
      <c r="I14" t="s">
        <v>27</v>
      </c>
      <c r="J14" s="2">
        <f>J12/8</f>
        <v>0.51</v>
      </c>
      <c r="L14" s="3"/>
    </row>
    <row r="15" spans="2:12" x14ac:dyDescent="0.35">
      <c r="I15" t="s">
        <v>28</v>
      </c>
      <c r="J15" s="2">
        <f>J14*D2</f>
        <v>40.799999999999997</v>
      </c>
    </row>
    <row r="16" spans="2:12" x14ac:dyDescent="0.35">
      <c r="B16" t="s">
        <v>32</v>
      </c>
      <c r="C16" s="26">
        <v>0.25</v>
      </c>
      <c r="I16" t="s">
        <v>61</v>
      </c>
      <c r="J16" s="1">
        <f>20*H3</f>
        <v>100</v>
      </c>
      <c r="L16" s="3"/>
    </row>
    <row r="17" spans="9:12" x14ac:dyDescent="0.35">
      <c r="I17" t="s">
        <v>62</v>
      </c>
      <c r="J17" s="1">
        <v>25</v>
      </c>
      <c r="L17" s="3"/>
    </row>
    <row r="18" spans="9:12" x14ac:dyDescent="0.35">
      <c r="I18" t="s">
        <v>29</v>
      </c>
      <c r="J18" s="2">
        <f>J13+J15+J16+J17</f>
        <v>231.4</v>
      </c>
    </row>
    <row r="19" spans="9:12" x14ac:dyDescent="0.35">
      <c r="I19" t="s">
        <v>30</v>
      </c>
      <c r="J19" s="2">
        <f>(J18)/SP!A2</f>
        <v>11.57</v>
      </c>
    </row>
    <row r="20" spans="9:12" x14ac:dyDescent="0.35">
      <c r="I20" t="s">
        <v>8</v>
      </c>
      <c r="J20" s="2">
        <f>(SP!E2*C16)+SP!E2</f>
        <v>11.86</v>
      </c>
    </row>
    <row r="22" spans="9:12" x14ac:dyDescent="0.35">
      <c r="J22" s="1"/>
    </row>
    <row r="23" spans="9:12" x14ac:dyDescent="0.35">
      <c r="I23" t="s">
        <v>31</v>
      </c>
      <c r="J23" s="2">
        <f>J19+J20</f>
        <v>23.43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FE1D1-CDD2-4A45-906B-F51030292666}">
  <dimension ref="B1:H23"/>
  <sheetViews>
    <sheetView workbookViewId="0">
      <selection activeCell="G10" sqref="G10"/>
    </sheetView>
  </sheetViews>
  <sheetFormatPr defaultRowHeight="14.5" x14ac:dyDescent="0.35"/>
  <cols>
    <col min="2" max="2" width="17.90625" bestFit="1" customWidth="1"/>
    <col min="3" max="3" width="21.36328125" bestFit="1" customWidth="1"/>
    <col min="4" max="4" width="14.90625" customWidth="1"/>
    <col min="5" max="5" width="22.453125" bestFit="1" customWidth="1"/>
    <col min="6" max="6" width="19.36328125" customWidth="1"/>
    <col min="7" max="7" width="18.7265625" bestFit="1" customWidth="1"/>
  </cols>
  <sheetData>
    <row r="1" spans="2:8" x14ac:dyDescent="0.35">
      <c r="B1" t="s">
        <v>14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</row>
    <row r="2" spans="2:8" x14ac:dyDescent="0.35">
      <c r="B2" s="27">
        <v>175</v>
      </c>
      <c r="C2" s="28">
        <v>10</v>
      </c>
      <c r="D2" s="28">
        <v>10</v>
      </c>
      <c r="E2" s="28">
        <v>11</v>
      </c>
      <c r="F2" s="28">
        <v>30</v>
      </c>
      <c r="G2" s="28">
        <v>10</v>
      </c>
    </row>
    <row r="3" spans="2:8" ht="15" thickBot="1" x14ac:dyDescent="0.4">
      <c r="C3" s="1" t="s">
        <v>38</v>
      </c>
      <c r="D3" s="1"/>
      <c r="E3" t="s">
        <v>39</v>
      </c>
      <c r="F3" s="1" t="s">
        <v>40</v>
      </c>
      <c r="G3" s="1" t="s">
        <v>41</v>
      </c>
    </row>
    <row r="4" spans="2:8" ht="15" thickBot="1" x14ac:dyDescent="0.4">
      <c r="C4" s="29">
        <f>(C2*EMB!A2)/60</f>
        <v>0.5</v>
      </c>
      <c r="D4" s="1"/>
      <c r="E4" s="29">
        <f>(((EMB!B2+EMB!C2)/EMBCalc!E2)/60)*EMB!A2</f>
        <v>27.57</v>
      </c>
      <c r="F4" s="18">
        <f>(F2*EMB!A2)/60</f>
        <v>1.5</v>
      </c>
      <c r="G4" s="29">
        <f>(G2*EMB!A2)/60</f>
        <v>0.5</v>
      </c>
      <c r="H4" s="1"/>
    </row>
    <row r="5" spans="2:8" x14ac:dyDescent="0.35">
      <c r="E5" t="s">
        <v>65</v>
      </c>
      <c r="G5" s="1"/>
    </row>
    <row r="6" spans="2:8" x14ac:dyDescent="0.35">
      <c r="C6" s="1" t="s">
        <v>42</v>
      </c>
      <c r="D6" s="1" t="s">
        <v>43</v>
      </c>
      <c r="E6" s="1">
        <f>E4/6</f>
        <v>4.5949999999999998</v>
      </c>
      <c r="F6" s="1"/>
      <c r="G6" s="1"/>
    </row>
    <row r="7" spans="2:8" x14ac:dyDescent="0.35">
      <c r="C7" s="28">
        <v>0.19</v>
      </c>
      <c r="D7" s="28">
        <v>0.05</v>
      </c>
      <c r="E7" s="1"/>
      <c r="F7" s="1"/>
      <c r="G7" s="1"/>
    </row>
    <row r="8" spans="2:8" ht="15" thickBot="1" x14ac:dyDescent="0.4">
      <c r="C8" s="1"/>
      <c r="D8" s="1"/>
      <c r="E8" s="1"/>
      <c r="F8" s="1"/>
      <c r="G8" s="1" t="s">
        <v>4</v>
      </c>
    </row>
    <row r="9" spans="2:8" x14ac:dyDescent="0.35">
      <c r="C9" s="1" t="s">
        <v>44</v>
      </c>
      <c r="D9" s="1"/>
      <c r="E9" s="4" t="s">
        <v>45</v>
      </c>
      <c r="F9" s="25">
        <f>EMB!A2*(C7+D7)</f>
        <v>0.72</v>
      </c>
      <c r="G9" s="1">
        <f>F9</f>
        <v>0.72</v>
      </c>
    </row>
    <row r="10" spans="2:8" x14ac:dyDescent="0.35">
      <c r="C10" s="28">
        <v>16</v>
      </c>
      <c r="D10" s="1"/>
      <c r="E10" s="5" t="s">
        <v>25</v>
      </c>
      <c r="F10" s="6">
        <f>(C4+E4+F4+G4+D2)/60</f>
        <v>0.67</v>
      </c>
      <c r="G10" s="2">
        <f>(C4+E6+F4+G4+D2)/60</f>
        <v>0.28000000000000003</v>
      </c>
    </row>
    <row r="11" spans="2:8" x14ac:dyDescent="0.35">
      <c r="C11" s="1"/>
      <c r="D11" s="1"/>
      <c r="E11" s="5" t="s">
        <v>26</v>
      </c>
      <c r="F11" s="6">
        <f>F10*C10</f>
        <v>10.72</v>
      </c>
      <c r="G11" s="2">
        <f>G10*C10</f>
        <v>4.4800000000000004</v>
      </c>
    </row>
    <row r="12" spans="2:8" x14ac:dyDescent="0.35">
      <c r="B12" s="1" t="s">
        <v>67</v>
      </c>
      <c r="C12" s="1" t="s">
        <v>66</v>
      </c>
      <c r="D12" s="1"/>
      <c r="E12" s="5" t="s">
        <v>27</v>
      </c>
      <c r="F12" s="6">
        <f>F10/8</f>
        <v>0.08</v>
      </c>
      <c r="G12" s="2">
        <f>G10/8</f>
        <v>0.04</v>
      </c>
    </row>
    <row r="13" spans="2:8" x14ac:dyDescent="0.35">
      <c r="B13" s="30">
        <v>1.5</v>
      </c>
      <c r="C13" s="30">
        <v>0.3</v>
      </c>
      <c r="D13" s="1"/>
      <c r="E13" s="5" t="s">
        <v>28</v>
      </c>
      <c r="F13" s="6">
        <f>F12*B2</f>
        <v>14</v>
      </c>
      <c r="G13" s="1">
        <f>G12*B2</f>
        <v>7</v>
      </c>
    </row>
    <row r="14" spans="2:8" x14ac:dyDescent="0.35">
      <c r="C14" s="1"/>
      <c r="D14" s="1"/>
      <c r="E14" s="5" t="s">
        <v>29</v>
      </c>
      <c r="F14" s="6">
        <f>F13+F11+F9</f>
        <v>25.44</v>
      </c>
      <c r="G14" s="2">
        <f>G13+G11+G9</f>
        <v>12.2</v>
      </c>
    </row>
    <row r="15" spans="2:8" x14ac:dyDescent="0.35">
      <c r="C15" s="1" t="s">
        <v>47</v>
      </c>
      <c r="D15" s="1"/>
      <c r="E15" s="5"/>
      <c r="F15" s="6"/>
      <c r="G15" s="2"/>
    </row>
    <row r="16" spans="2:8" x14ac:dyDescent="0.35">
      <c r="C16" s="31">
        <v>0.2</v>
      </c>
      <c r="D16" s="1"/>
      <c r="E16" s="5" t="s">
        <v>48</v>
      </c>
      <c r="F16" s="6">
        <f>F14/EMB!A2</f>
        <v>8.48</v>
      </c>
      <c r="G16" s="2">
        <f>G14/EMB!A2</f>
        <v>4.07</v>
      </c>
    </row>
    <row r="17" spans="3:7" x14ac:dyDescent="0.35">
      <c r="C17" s="1"/>
      <c r="D17" s="1"/>
      <c r="E17" s="5" t="s">
        <v>49</v>
      </c>
      <c r="F17" s="6">
        <f>C13*F16</f>
        <v>2.54</v>
      </c>
      <c r="G17" s="2">
        <f>B13*G16</f>
        <v>6.11</v>
      </c>
    </row>
    <row r="18" spans="3:7" x14ac:dyDescent="0.35">
      <c r="E18" s="5" t="s">
        <v>50</v>
      </c>
      <c r="F18" s="6">
        <f>EMB!D2</f>
        <v>11.99</v>
      </c>
      <c r="G18" s="2">
        <f>F18</f>
        <v>11.99</v>
      </c>
    </row>
    <row r="19" spans="3:7" x14ac:dyDescent="0.35">
      <c r="E19" s="5" t="s">
        <v>51</v>
      </c>
      <c r="F19" s="7">
        <f>C16*F18</f>
        <v>2.3980000000000001</v>
      </c>
      <c r="G19" s="2">
        <f>F19</f>
        <v>2.4</v>
      </c>
    </row>
    <row r="20" spans="3:7" ht="15" thickBot="1" x14ac:dyDescent="0.4">
      <c r="E20" s="8" t="s">
        <v>52</v>
      </c>
      <c r="F20" s="9">
        <f>F16+F17+F18+F19</f>
        <v>25.41</v>
      </c>
      <c r="G20" s="2">
        <f>G16+G17+G18+G19</f>
        <v>24.57</v>
      </c>
    </row>
    <row r="21" spans="3:7" x14ac:dyDescent="0.35">
      <c r="G21" s="2"/>
    </row>
    <row r="22" spans="3:7" x14ac:dyDescent="0.35">
      <c r="E22" t="s">
        <v>53</v>
      </c>
      <c r="F22" s="1">
        <f>F18*EMB!A2</f>
        <v>35.97</v>
      </c>
      <c r="G22" s="2">
        <f>F22</f>
        <v>35.97</v>
      </c>
    </row>
    <row r="23" spans="3:7" x14ac:dyDescent="0.35">
      <c r="E23" t="s">
        <v>54</v>
      </c>
      <c r="F23" s="2">
        <f>(F17+F19)*EMB!A2</f>
        <v>14.81</v>
      </c>
      <c r="G23" s="1">
        <f>(G17+G19)*EMB!A2</f>
        <v>25.53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620B1-3635-4F6D-BA0A-BFEA18E80168}">
  <dimension ref="A1:G20"/>
  <sheetViews>
    <sheetView workbookViewId="0">
      <selection activeCell="F10" sqref="F10"/>
    </sheetView>
  </sheetViews>
  <sheetFormatPr defaultRowHeight="14.5" x14ac:dyDescent="0.35"/>
  <cols>
    <col min="2" max="2" width="17.90625" bestFit="1" customWidth="1"/>
    <col min="3" max="3" width="21.36328125" bestFit="1" customWidth="1"/>
    <col min="4" max="4" width="13.26953125" bestFit="1" customWidth="1"/>
    <col min="5" max="5" width="22.453125" bestFit="1" customWidth="1"/>
    <col min="6" max="6" width="16.1796875" bestFit="1" customWidth="1"/>
    <col min="7" max="7" width="18.7265625" bestFit="1" customWidth="1"/>
  </cols>
  <sheetData>
    <row r="1" spans="1:7" x14ac:dyDescent="0.35">
      <c r="A1">
        <v>1</v>
      </c>
      <c r="B1" t="s">
        <v>14</v>
      </c>
      <c r="C1" t="s">
        <v>33</v>
      </c>
      <c r="D1" t="s">
        <v>34</v>
      </c>
      <c r="E1" t="s">
        <v>55</v>
      </c>
      <c r="F1" s="22" t="s">
        <v>56</v>
      </c>
      <c r="G1" t="s">
        <v>37</v>
      </c>
    </row>
    <row r="2" spans="1:7" x14ac:dyDescent="0.35">
      <c r="A2">
        <v>2</v>
      </c>
      <c r="B2" s="27">
        <v>175</v>
      </c>
      <c r="C2" s="28">
        <v>10</v>
      </c>
      <c r="D2" s="28">
        <v>30</v>
      </c>
      <c r="E2" s="28">
        <v>1.5</v>
      </c>
      <c r="F2" s="28">
        <v>10</v>
      </c>
      <c r="G2" s="28">
        <v>10</v>
      </c>
    </row>
    <row r="3" spans="1:7" ht="15" thickBot="1" x14ac:dyDescent="0.4">
      <c r="A3">
        <v>3</v>
      </c>
      <c r="C3" s="1" t="s">
        <v>38</v>
      </c>
      <c r="D3" s="1"/>
      <c r="E3" t="s">
        <v>58</v>
      </c>
      <c r="F3" s="1" t="s">
        <v>40</v>
      </c>
      <c r="G3" s="1" t="s">
        <v>41</v>
      </c>
    </row>
    <row r="4" spans="1:7" ht="15" thickBot="1" x14ac:dyDescent="0.4">
      <c r="A4">
        <v>4</v>
      </c>
      <c r="C4" s="29">
        <f>(DTF!A2*DTFCalc!C2)/60</f>
        <v>3.33</v>
      </c>
      <c r="D4" s="1"/>
      <c r="E4" s="29">
        <f>(DTF!A2*DTFCalc!E2)*DTF!B2</f>
        <v>30</v>
      </c>
      <c r="F4" s="29">
        <f>(DTF!A2*DTFCalc!F2)/60</f>
        <v>3.33</v>
      </c>
      <c r="G4" s="29">
        <f>(DTF!A2*G2)/60</f>
        <v>3.33</v>
      </c>
    </row>
    <row r="5" spans="1:7" x14ac:dyDescent="0.35">
      <c r="G5" s="1"/>
    </row>
    <row r="6" spans="1:7" x14ac:dyDescent="0.35">
      <c r="C6" s="1"/>
      <c r="D6" s="1"/>
      <c r="E6" s="1"/>
      <c r="F6" s="1"/>
      <c r="G6" s="1"/>
    </row>
    <row r="7" spans="1:7" x14ac:dyDescent="0.35">
      <c r="C7" s="1"/>
      <c r="D7" s="1"/>
      <c r="E7" s="1"/>
      <c r="F7" s="1"/>
      <c r="G7" s="1"/>
    </row>
    <row r="8" spans="1:7" ht="15" thickBot="1" x14ac:dyDescent="0.4">
      <c r="C8" s="1"/>
      <c r="D8" s="1"/>
      <c r="E8" s="1"/>
      <c r="F8" s="1"/>
      <c r="G8" s="1"/>
    </row>
    <row r="9" spans="1:7" x14ac:dyDescent="0.35">
      <c r="C9" s="1" t="s">
        <v>44</v>
      </c>
      <c r="D9" s="1"/>
      <c r="E9" s="4" t="s">
        <v>45</v>
      </c>
      <c r="F9" s="25">
        <f>(DTF!E2+DTF!E3+DTF!E4+DTF!E5)*DTF!A2</f>
        <v>60</v>
      </c>
      <c r="G9" s="1"/>
    </row>
    <row r="10" spans="1:7" x14ac:dyDescent="0.35">
      <c r="C10" s="28">
        <v>16</v>
      </c>
      <c r="D10" s="1"/>
      <c r="E10" s="5" t="s">
        <v>25</v>
      </c>
      <c r="F10" s="6">
        <f>(C4+D2+E4+F4+G4)/60</f>
        <v>1.17</v>
      </c>
      <c r="G10" s="1"/>
    </row>
    <row r="11" spans="1:7" x14ac:dyDescent="0.35">
      <c r="C11" s="1"/>
      <c r="D11" s="1"/>
      <c r="E11" s="5" t="s">
        <v>26</v>
      </c>
      <c r="F11" s="6">
        <f>F10*C10</f>
        <v>18.72</v>
      </c>
      <c r="G11" s="1"/>
    </row>
    <row r="12" spans="1:7" x14ac:dyDescent="0.35">
      <c r="C12" s="1" t="s">
        <v>46</v>
      </c>
      <c r="D12" s="1"/>
      <c r="E12" s="5" t="s">
        <v>27</v>
      </c>
      <c r="F12" s="6">
        <f>F10/8</f>
        <v>0.15</v>
      </c>
      <c r="G12" s="1"/>
    </row>
    <row r="13" spans="1:7" x14ac:dyDescent="0.35">
      <c r="C13" s="30">
        <v>0.3</v>
      </c>
      <c r="D13" s="1"/>
      <c r="E13" s="5" t="s">
        <v>28</v>
      </c>
      <c r="F13" s="6">
        <f>F12*B2</f>
        <v>26.25</v>
      </c>
      <c r="G13" s="1"/>
    </row>
    <row r="14" spans="1:7" x14ac:dyDescent="0.35">
      <c r="C14" s="1"/>
      <c r="D14" s="1"/>
      <c r="E14" s="5" t="s">
        <v>29</v>
      </c>
      <c r="F14" s="6">
        <f>SUM(F9:F13)</f>
        <v>106.29</v>
      </c>
      <c r="G14" s="1"/>
    </row>
    <row r="15" spans="1:7" x14ac:dyDescent="0.35">
      <c r="C15" s="1" t="s">
        <v>47</v>
      </c>
      <c r="D15" s="1"/>
      <c r="E15" s="5"/>
      <c r="F15" s="6"/>
      <c r="G15" s="1"/>
    </row>
    <row r="16" spans="1:7" x14ac:dyDescent="0.35">
      <c r="C16" s="31">
        <v>0.2</v>
      </c>
      <c r="D16" s="1"/>
      <c r="E16" s="5" t="s">
        <v>60</v>
      </c>
      <c r="F16" s="6">
        <f>F14/DTF!A2</f>
        <v>5.31</v>
      </c>
    </row>
    <row r="17" spans="3:6" x14ac:dyDescent="0.35">
      <c r="C17" s="1"/>
      <c r="D17" s="1"/>
      <c r="E17" s="5" t="s">
        <v>49</v>
      </c>
      <c r="F17" s="6">
        <f>F16*C13</f>
        <v>1.59</v>
      </c>
    </row>
    <row r="18" spans="3:6" x14ac:dyDescent="0.35">
      <c r="E18" s="5" t="s">
        <v>50</v>
      </c>
      <c r="F18" s="6">
        <f>DTF!C2</f>
        <v>5.18</v>
      </c>
    </row>
    <row r="19" spans="3:6" x14ac:dyDescent="0.35">
      <c r="E19" s="5" t="s">
        <v>51</v>
      </c>
      <c r="F19" s="7">
        <f>F18*C16</f>
        <v>1.036</v>
      </c>
    </row>
    <row r="20" spans="3:6" ht="15" thickBot="1" x14ac:dyDescent="0.4">
      <c r="E20" s="8" t="s">
        <v>52</v>
      </c>
      <c r="F20" s="9">
        <f>SUM(F16:F19)</f>
        <v>13.12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F10B0-7AA4-46E2-A4EC-12C430A43CD7}">
  <dimension ref="A1:A2"/>
  <sheetViews>
    <sheetView workbookViewId="0">
      <selection activeCell="A14" sqref="A14"/>
    </sheetView>
  </sheetViews>
  <sheetFormatPr defaultRowHeight="14.5" x14ac:dyDescent="0.35"/>
  <cols>
    <col min="1" max="1" width="95.08984375" customWidth="1"/>
  </cols>
  <sheetData>
    <row r="1" spans="1:1" ht="15" thickBot="1" x14ac:dyDescent="0.4">
      <c r="A1" s="69" t="s">
        <v>114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SP</vt:lpstr>
      <vt:lpstr>EMB</vt:lpstr>
      <vt:lpstr>DTF</vt:lpstr>
      <vt:lpstr>Tent</vt:lpstr>
      <vt:lpstr>SPCalc</vt:lpstr>
      <vt:lpstr>EMBCalc</vt:lpstr>
      <vt:lpstr>DTFCalc</vt:lpstr>
      <vt:lpstr>Snippets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Zachary Houser</dc:creator>
  <cp:keywords/>
  <dc:description/>
  <cp:lastModifiedBy>Zachary Houser</cp:lastModifiedBy>
  <cp:revision/>
  <dcterms:created xsi:type="dcterms:W3CDTF">2017-05-23T14:54:23Z</dcterms:created>
  <dcterms:modified xsi:type="dcterms:W3CDTF">2024-02-23T02:09:59Z</dcterms:modified>
  <cp:category/>
  <cp:contentStatus/>
</cp:coreProperties>
</file>